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-120" yWindow="-120" windowWidth="29040" windowHeight="15840"/>
  </bookViews>
  <sheets>
    <sheet name="Info IMSS Colaborador 2020" sheetId="4" r:id="rId1"/>
    <sheet name="DATOS" sheetId="1" r:id="rId2"/>
    <sheet name="SBC 2020" sheetId="6" state="hidden" r:id="rId3"/>
    <sheet name="TARIFAS ISPT, SUBSIDO AL EMPLEO" sheetId="5" r:id="rId4"/>
    <sheet name="CALCULO RETENCION" sheetId="2" state="hidden" r:id="rId5"/>
  </sheets>
  <definedNames>
    <definedName name="AREA">DATOS!$B$8:$B$10</definedName>
    <definedName name="result">'CALCULO RETENCION'!$B$10:$I$12</definedName>
    <definedName name="SM">DATOS!$C$8:$C$8</definedName>
    <definedName name="VALORdesc">'CALCULO RETENCION'!$B$10:$B$12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7" i="1" l="1"/>
  <c r="B7" i="6" l="1"/>
  <c r="B5" i="6"/>
  <c r="B3" i="6" l="1"/>
  <c r="C2" i="2" l="1"/>
  <c r="N5" i="4"/>
  <c r="N6" i="4" s="1"/>
  <c r="B4" i="6"/>
  <c r="B6" i="6"/>
  <c r="E6" i="6" s="1"/>
  <c r="E7" i="6"/>
  <c r="N20" i="4"/>
  <c r="N28" i="4" s="1"/>
  <c r="N30" i="4"/>
  <c r="N15" i="4"/>
  <c r="N22" i="4" s="1"/>
  <c r="C14" i="1"/>
  <c r="D5" i="2" s="1"/>
  <c r="F23" i="1"/>
  <c r="C9" i="1"/>
  <c r="C8" i="4"/>
  <c r="K6" i="4" s="1"/>
  <c r="I9" i="2"/>
  <c r="H9" i="2"/>
  <c r="G9" i="2"/>
  <c r="F9" i="2"/>
  <c r="E9" i="2"/>
  <c r="D9" i="2"/>
  <c r="E8" i="6" l="1"/>
  <c r="E10" i="6" s="1"/>
  <c r="C3" i="6" s="1"/>
  <c r="E3" i="6" s="1"/>
  <c r="C20" i="4" s="1"/>
  <c r="N19" i="4" s="1"/>
  <c r="N25" i="4" s="1"/>
  <c r="K11" i="4"/>
  <c r="K7" i="4"/>
  <c r="K8" i="4" s="1"/>
  <c r="K17" i="4"/>
  <c r="C28" i="4" s="1"/>
  <c r="C26" i="4"/>
  <c r="F8" i="2"/>
  <c r="E10" i="2"/>
  <c r="D17" i="1" s="1"/>
  <c r="G10" i="2"/>
  <c r="D19" i="1" s="1"/>
  <c r="H8" i="2"/>
  <c r="C11" i="2"/>
  <c r="E8" i="2"/>
  <c r="E11" i="2"/>
  <c r="E15" i="2" s="1"/>
  <c r="I8" i="2"/>
  <c r="G11" i="2"/>
  <c r="G15" i="2" s="1"/>
  <c r="G8" i="2"/>
  <c r="I11" i="2"/>
  <c r="I15" i="2" s="1"/>
  <c r="D11" i="2"/>
  <c r="D18" i="2" s="1"/>
  <c r="D10" i="2"/>
  <c r="D16" i="1" s="1"/>
  <c r="F11" i="2"/>
  <c r="F15" i="2" s="1"/>
  <c r="F10" i="2"/>
  <c r="D18" i="1" s="1"/>
  <c r="H11" i="2"/>
  <c r="H15" i="2" s="1"/>
  <c r="H10" i="2"/>
  <c r="D20" i="1" s="1"/>
  <c r="D8" i="2"/>
  <c r="I10" i="2"/>
  <c r="D21" i="1" s="1"/>
  <c r="C10" i="2"/>
  <c r="K9" i="4"/>
  <c r="H14" i="2" l="1"/>
  <c r="G14" i="2"/>
  <c r="C13" i="1"/>
  <c r="D4" i="2" s="1"/>
  <c r="G12" i="2" s="1"/>
  <c r="G16" i="2" s="1"/>
  <c r="K10" i="4"/>
  <c r="K12" i="4" s="1"/>
  <c r="K16" i="4" s="1"/>
  <c r="K18" i="4" s="1"/>
  <c r="E14" i="2"/>
  <c r="F14" i="2"/>
  <c r="I14" i="2"/>
  <c r="C8" i="2"/>
  <c r="D24" i="1"/>
  <c r="D26" i="1" s="1"/>
  <c r="C31" i="4" s="1"/>
  <c r="N27" i="4"/>
  <c r="N29" i="4" s="1"/>
  <c r="N31" i="4" s="1"/>
  <c r="N21" i="4"/>
  <c r="N23" i="4" s="1"/>
  <c r="N32" i="4" s="1"/>
  <c r="D23" i="1"/>
  <c r="H12" i="2" l="1"/>
  <c r="H16" i="2" s="1"/>
  <c r="C12" i="2"/>
  <c r="D12" i="2"/>
  <c r="C27" i="4"/>
  <c r="C29" i="4" s="1"/>
  <c r="B29" i="4" s="1"/>
  <c r="K19" i="4"/>
  <c r="E12" i="2"/>
  <c r="E16" i="2" s="1"/>
  <c r="I12" i="2"/>
  <c r="I16" i="2" s="1"/>
  <c r="F12" i="2"/>
  <c r="F16" i="2" s="1"/>
  <c r="N34" i="4"/>
  <c r="C30" i="4" s="1"/>
  <c r="C32" i="4" l="1"/>
</calcChain>
</file>

<file path=xl/comments1.xml><?xml version="1.0" encoding="utf-8"?>
<comments xmlns="http://schemas.openxmlformats.org/spreadsheetml/2006/main">
  <authors>
    <author>Cesar Mauricio Salcido Sandoval</author>
  </authors>
  <commentList>
    <comment ref="C7" authorId="0" shapeId="0">
      <text>
        <r>
          <rPr>
            <b/>
            <sz val="10"/>
            <color rgb="FF000000"/>
            <rFont val="Karla"/>
          </rPr>
          <t xml:space="preserve"> $84.49 ene-20, $86.88 feb-dic-20</t>
        </r>
      </text>
    </comment>
  </commentList>
</comments>
</file>

<file path=xl/sharedStrings.xml><?xml version="1.0" encoding="utf-8"?>
<sst xmlns="http://schemas.openxmlformats.org/spreadsheetml/2006/main" count="139" uniqueCount="117">
  <si>
    <t>VSM</t>
  </si>
  <si>
    <t>FALTAS</t>
  </si>
  <si>
    <t>SALARIO MINIMO DF</t>
  </si>
  <si>
    <t>BIM 1</t>
  </si>
  <si>
    <t>BIM 2</t>
  </si>
  <si>
    <t>BIM 3</t>
  </si>
  <si>
    <t>BIM 4</t>
  </si>
  <si>
    <t>BIM 5</t>
  </si>
  <si>
    <t>BIM 6</t>
  </si>
  <si>
    <t>TIPO DE DESCUENTO</t>
  </si>
  <si>
    <t>VECES SMGDF</t>
  </si>
  <si>
    <t>PORCENTAJE</t>
  </si>
  <si>
    <t>CUOTA FIJA</t>
  </si>
  <si>
    <t>SALARIO BASE DE COTIZACION</t>
  </si>
  <si>
    <t>Dias Laborados</t>
  </si>
  <si>
    <t>( = )</t>
  </si>
  <si>
    <t>Ingresos Mensuales Acumulables</t>
  </si>
  <si>
    <t>Tope 3 salarios minimos</t>
  </si>
  <si>
    <t>Ingresos en ese Periodo</t>
  </si>
  <si>
    <t>( - )</t>
  </si>
  <si>
    <t xml:space="preserve">Limite Inferior </t>
  </si>
  <si>
    <t>Excedente sobre limite inferior</t>
  </si>
  <si>
    <t>( * )</t>
  </si>
  <si>
    <t>Tasa aplicable</t>
  </si>
  <si>
    <t>Invalidez y vida</t>
  </si>
  <si>
    <t>Impuesto marginal</t>
  </si>
  <si>
    <t xml:space="preserve">Cesantía y vejez </t>
  </si>
  <si>
    <t>( + )</t>
  </si>
  <si>
    <t>Cuota Fija</t>
  </si>
  <si>
    <t>Prestaciones en Efectivo</t>
  </si>
  <si>
    <t>ISR Causado</t>
  </si>
  <si>
    <t>Gastos Médicos</t>
  </si>
  <si>
    <t>Excedente =</t>
  </si>
  <si>
    <t>DESGLOSE DEL PERIODO</t>
  </si>
  <si>
    <t xml:space="preserve">DETERMINACION DEL SUBSIDIO </t>
  </si>
  <si>
    <t>Total% Retención =</t>
  </si>
  <si>
    <t>SUELDO</t>
  </si>
  <si>
    <t xml:space="preserve">( = ) </t>
  </si>
  <si>
    <t>ISPT DEL PERIODO</t>
  </si>
  <si>
    <t>SUBSIDIO PARA EL EMPLEO</t>
  </si>
  <si>
    <t>SUBSIDO PARA EL EMPLEO</t>
  </si>
  <si>
    <t>ISR A CARGO</t>
  </si>
  <si>
    <t>Retención IMSS</t>
  </si>
  <si>
    <t>SUBSIDIO A FAVOR</t>
  </si>
  <si>
    <t>Salario Base de Cotización</t>
  </si>
  <si>
    <t>IMSS</t>
  </si>
  <si>
    <t>(x) No. De días cotizados</t>
  </si>
  <si>
    <t>NETO A PAGAR</t>
  </si>
  <si>
    <t>(=) Salario base cotización =</t>
  </si>
  <si>
    <t>(x) % retención IMSS=</t>
  </si>
  <si>
    <t>(=) Ret. Inic. IMSS =</t>
  </si>
  <si>
    <t>Mayor a 3 SMDF</t>
  </si>
  <si>
    <t>SDI – 3 Salarios minimos</t>
  </si>
  <si>
    <t>(=) Salario base cotización excedente</t>
  </si>
  <si>
    <t xml:space="preserve">X % sobre excedente </t>
  </si>
  <si>
    <t>(=) IMSS sobre excedente</t>
  </si>
  <si>
    <t>(+) Ret. Inic. IMSS</t>
  </si>
  <si>
    <t>Total Retención IMSS.</t>
  </si>
  <si>
    <t>Limite inferior</t>
  </si>
  <si>
    <t>Limite Superior</t>
  </si>
  <si>
    <t>Cuota fija</t>
  </si>
  <si>
    <t xml:space="preserve">% </t>
  </si>
  <si>
    <t>Salario Diario</t>
  </si>
  <si>
    <t>RETENCION INFONAVIT</t>
  </si>
  <si>
    <t>SALARIO DIARIO INTEGRADO (PRESTACIONES DE LEY)</t>
  </si>
  <si>
    <t>Promedio de dias al mes</t>
  </si>
  <si>
    <t>DATOS</t>
  </si>
  <si>
    <t>Datos generales para la integración</t>
  </si>
  <si>
    <t>Importes</t>
  </si>
  <si>
    <t>Fija</t>
  </si>
  <si>
    <t>Variable</t>
  </si>
  <si>
    <t>Total</t>
  </si>
  <si>
    <t>Cuota diaria del trabajador</t>
  </si>
  <si>
    <t>Días de vacaciones</t>
  </si>
  <si>
    <t>Factor de integración</t>
  </si>
  <si>
    <t>Prima vacacional %</t>
  </si>
  <si>
    <t>Prima vacacional</t>
  </si>
  <si>
    <t>Días de aguinaldo</t>
  </si>
  <si>
    <t xml:space="preserve">más: </t>
  </si>
  <si>
    <t>Por aguinaldo</t>
  </si>
  <si>
    <t>Area geografica del contribuyente</t>
  </si>
  <si>
    <t xml:space="preserve">igual: </t>
  </si>
  <si>
    <t>Unidad</t>
  </si>
  <si>
    <t>Otros conceptos que integran el SBC</t>
  </si>
  <si>
    <t xml:space="preserve">Factor </t>
  </si>
  <si>
    <t>Prestaciones</t>
  </si>
  <si>
    <t>% de Prima Vacacional</t>
  </si>
  <si>
    <t>VALOR DEL DESCUENTO (si tiene Infonavit)</t>
  </si>
  <si>
    <t>DATOS GENERALES</t>
  </si>
  <si>
    <t>UMA</t>
  </si>
  <si>
    <t>Salario minimo General</t>
  </si>
  <si>
    <t>UMA al 10 de enero de 2018 (vigente de febrero 2018 a enero 2019)</t>
  </si>
  <si>
    <t>GENERAL</t>
  </si>
  <si>
    <t>DOF ene 2019</t>
  </si>
  <si>
    <t>TABLAS Y TARIFAS MENSUAL 2020</t>
  </si>
  <si>
    <t>TABLA DE SUBSIDIO PARA EL EMPLEO 2020</t>
  </si>
  <si>
    <t>UMA`s a aplicar en 2020</t>
  </si>
  <si>
    <t>Salario Minimo 2020 (general)</t>
  </si>
  <si>
    <t>ISR DEL PERIODO ANTES DEL SUBSIDIO</t>
  </si>
  <si>
    <t>Feb-Dic-20</t>
  </si>
  <si>
    <t>DOF ene 2020</t>
  </si>
  <si>
    <t>Este calculo es elaborado con los datos de las tablas de ISR de 2020 (anexo 8), la UMA 2019 publicada el 10-01-2019 y la UMA 2020 publicada el 10-01-2020 en el DOF</t>
  </si>
  <si>
    <t>Nota: Rellena solo los espacios en este color</t>
  </si>
  <si>
    <t>Calculadora de cuotas del IMSS</t>
  </si>
  <si>
    <t>Días de Vacaciones</t>
  </si>
  <si>
    <t>Días de Aguinaldo</t>
  </si>
  <si>
    <t>Días en nçomina</t>
  </si>
  <si>
    <t>UMA a aplicar (2019-2020)</t>
  </si>
  <si>
    <t>Valor de la UMA</t>
  </si>
  <si>
    <t>Valor del seguro de vivienda</t>
  </si>
  <si>
    <t>Tipo de descuento</t>
  </si>
  <si>
    <t>Salario base de cotización</t>
  </si>
  <si>
    <t>Valor del descuento</t>
  </si>
  <si>
    <t>Amortización mensual</t>
  </si>
  <si>
    <t>Periodo</t>
  </si>
  <si>
    <t>Amortización Anual</t>
  </si>
  <si>
    <t>Retención en Nómina en base a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</si>
</sst>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0.0000"/>
    <numFmt numFmtId="167" formatCode="&quot;$&quot;#,##0.00"/>
    <numFmt numFmtId="168" formatCode="0.0000%"/>
    <numFmt numFmtId="169" formatCode="0.0"/>
    <numFmt numFmtId="170" formatCode="0.000%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Karla"/>
    </font>
    <font>
      <b/>
      <sz val="16"/>
      <color rgb="FFFF0000"/>
      <name val="Karla"/>
    </font>
    <font>
      <sz val="14"/>
      <color theme="0"/>
      <name val="Karla"/>
    </font>
    <font>
      <sz val="14"/>
      <color theme="1"/>
      <name val="Karla"/>
    </font>
    <font>
      <sz val="16"/>
      <color rgb="FFFF0000"/>
      <name val="Karla"/>
    </font>
    <font>
      <sz val="12"/>
      <color theme="1"/>
      <name val="Karla"/>
    </font>
    <font>
      <b/>
      <sz val="11"/>
      <color theme="3"/>
      <name val="Karla"/>
    </font>
    <font>
      <sz val="11"/>
      <color theme="0"/>
      <name val="Karla"/>
    </font>
    <font>
      <sz val="16"/>
      <color theme="0"/>
      <name val="Karla"/>
    </font>
    <font>
      <sz val="16"/>
      <color theme="1"/>
      <name val="Karla"/>
    </font>
    <font>
      <b/>
      <sz val="11"/>
      <color rgb="FFFFFF00"/>
      <name val="Karla"/>
    </font>
    <font>
      <b/>
      <sz val="12"/>
      <color theme="1" tint="0.249977111117893"/>
      <name val="Karla"/>
    </font>
    <font>
      <sz val="26"/>
      <color rgb="FF5EBEA3"/>
      <name val="Karla"/>
    </font>
    <font>
      <sz val="12"/>
      <color theme="0"/>
      <name val="Karla"/>
    </font>
    <font>
      <b/>
      <sz val="12"/>
      <color theme="0"/>
      <name val="Karla"/>
    </font>
    <font>
      <b/>
      <sz val="11"/>
      <color theme="1"/>
      <name val="Karla"/>
    </font>
    <font>
      <b/>
      <sz val="12"/>
      <color theme="1"/>
      <name val="Karla"/>
    </font>
    <font>
      <b/>
      <sz val="10"/>
      <color rgb="FF000000"/>
      <name val="Karla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5EBEA3"/>
        <bgColor indexed="64"/>
      </patternFill>
    </fill>
    <fill>
      <patternFill patternType="solid">
        <fgColor rgb="FFAFDFD1"/>
        <bgColor indexed="64"/>
      </patternFill>
    </fill>
    <fill>
      <patternFill patternType="solid">
        <fgColor rgb="FFEFEAFD"/>
        <bgColor indexed="64"/>
      </patternFill>
    </fill>
    <fill>
      <patternFill patternType="solid">
        <fgColor rgb="FFFE988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2" fillId="6" borderId="0" applyNumberFormat="0" applyBorder="0" applyAlignment="0" applyProtection="0"/>
    <xf numFmtId="164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166" fontId="0" fillId="0" borderId="0" xfId="0" applyNumberFormat="1"/>
    <xf numFmtId="0" fontId="0" fillId="2" borderId="2" xfId="0" applyFill="1" applyBorder="1"/>
    <xf numFmtId="0" fontId="0" fillId="3" borderId="2" xfId="0" applyFill="1" applyBorder="1" applyAlignment="1">
      <alignment horizontal="center" wrapText="1"/>
    </xf>
    <xf numFmtId="4" fontId="0" fillId="3" borderId="2" xfId="0" applyNumberFormat="1" applyFill="1" applyBorder="1"/>
    <xf numFmtId="168" fontId="0" fillId="0" borderId="0" xfId="0" applyNumberFormat="1"/>
    <xf numFmtId="167" fontId="1" fillId="3" borderId="0" xfId="0" applyNumberFormat="1" applyFont="1" applyFill="1"/>
    <xf numFmtId="0" fontId="0" fillId="0" borderId="0" xfId="0" applyAlignment="1"/>
    <xf numFmtId="0" fontId="0" fillId="0" borderId="2" xfId="0" applyBorder="1"/>
    <xf numFmtId="165" fontId="2" fillId="0" borderId="2" xfId="1" applyFont="1" applyBorder="1"/>
    <xf numFmtId="4" fontId="0" fillId="0" borderId="2" xfId="0" applyNumberFormat="1" applyBorder="1"/>
    <xf numFmtId="4" fontId="0" fillId="0" borderId="2" xfId="0" applyNumberFormat="1" applyBorder="1" applyAlignment="1"/>
    <xf numFmtId="9" fontId="2" fillId="0" borderId="2" xfId="2" applyFont="1" applyBorder="1"/>
    <xf numFmtId="0" fontId="0" fillId="0" borderId="0" xfId="0" applyAlignment="1">
      <alignment horizontal="right"/>
    </xf>
    <xf numFmtId="166" fontId="0" fillId="0" borderId="1" xfId="0" applyNumberFormat="1" applyBorder="1"/>
    <xf numFmtId="0" fontId="0" fillId="0" borderId="2" xfId="0" applyFill="1" applyBorder="1"/>
    <xf numFmtId="164" fontId="2" fillId="0" borderId="1" xfId="6" applyFont="1" applyBorder="1"/>
    <xf numFmtId="0" fontId="0" fillId="0" borderId="0" xfId="0" applyFont="1" applyFill="1"/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ont="1" applyFill="1" applyAlignment="1">
      <alignment horizontal="right"/>
    </xf>
    <xf numFmtId="166" fontId="0" fillId="0" borderId="1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3" xfId="0" applyFont="1" applyBorder="1"/>
    <xf numFmtId="165" fontId="6" fillId="0" borderId="4" xfId="1" applyFont="1" applyBorder="1"/>
    <xf numFmtId="0" fontId="10" fillId="0" borderId="0" xfId="0" applyFont="1" applyBorder="1" applyAlignment="1">
      <alignment horizontal="center" vertical="top"/>
    </xf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right"/>
    </xf>
    <xf numFmtId="165" fontId="6" fillId="0" borderId="6" xfId="1" applyFont="1" applyBorder="1"/>
    <xf numFmtId="0" fontId="6" fillId="0" borderId="6" xfId="0" applyFont="1" applyBorder="1"/>
    <xf numFmtId="165" fontId="6" fillId="0" borderId="0" xfId="1" applyFont="1" applyBorder="1" applyAlignment="1">
      <alignment horizontal="right"/>
    </xf>
    <xf numFmtId="10" fontId="6" fillId="0" borderId="6" xfId="0" applyNumberFormat="1" applyFont="1" applyBorder="1"/>
    <xf numFmtId="170" fontId="6" fillId="0" borderId="6" xfId="0" applyNumberFormat="1" applyFont="1" applyBorder="1"/>
    <xf numFmtId="165" fontId="6" fillId="0" borderId="6" xfId="0" applyNumberFormat="1" applyFont="1" applyBorder="1"/>
    <xf numFmtId="0" fontId="12" fillId="0" borderId="0" xfId="3" applyFont="1" applyBorder="1"/>
    <xf numFmtId="0" fontId="12" fillId="0" borderId="5" xfId="3" applyFont="1" applyBorder="1"/>
    <xf numFmtId="170" fontId="12" fillId="0" borderId="6" xfId="3" applyNumberFormat="1" applyFont="1" applyBorder="1"/>
    <xf numFmtId="14" fontId="6" fillId="0" borderId="0" xfId="0" applyNumberFormat="1" applyFont="1" applyBorder="1"/>
    <xf numFmtId="0" fontId="13" fillId="5" borderId="5" xfId="4" applyFont="1" applyBorder="1" applyAlignment="1">
      <alignment horizontal="center"/>
    </xf>
    <xf numFmtId="0" fontId="13" fillId="5" borderId="6" xfId="4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/>
    <xf numFmtId="165" fontId="6" fillId="0" borderId="9" xfId="1" applyFont="1" applyBorder="1"/>
    <xf numFmtId="0" fontId="6" fillId="0" borderId="6" xfId="0" applyFont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Border="1"/>
    <xf numFmtId="0" fontId="10" fillId="0" borderId="0" xfId="0" applyFont="1" applyBorder="1" applyAlignment="1">
      <alignment vertical="top"/>
    </xf>
    <xf numFmtId="0" fontId="6" fillId="0" borderId="0" xfId="0" applyFont="1" applyFill="1" applyBorder="1"/>
    <xf numFmtId="0" fontId="13" fillId="5" borderId="8" xfId="4" applyFont="1" applyBorder="1"/>
    <xf numFmtId="165" fontId="13" fillId="5" borderId="9" xfId="4" applyNumberFormat="1" applyFont="1" applyBorder="1"/>
    <xf numFmtId="0" fontId="7" fillId="11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6" fillId="0" borderId="0" xfId="1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9" fontId="6" fillId="0" borderId="0" xfId="2" applyFont="1" applyFill="1" applyBorder="1"/>
    <xf numFmtId="166" fontId="6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6" applyFont="1" applyFill="1" applyBorder="1"/>
    <xf numFmtId="0" fontId="16" fillId="0" borderId="0" xfId="0" applyFont="1" applyFill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6" fillId="0" borderId="0" xfId="0" applyFont="1" applyFill="1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8" fillId="8" borderId="12" xfId="4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169" fontId="9" fillId="0" borderId="12" xfId="0" applyNumberFormat="1" applyFont="1" applyFill="1" applyBorder="1" applyAlignment="1" applyProtection="1">
      <alignment horizontal="center"/>
    </xf>
    <xf numFmtId="0" fontId="9" fillId="11" borderId="12" xfId="0" applyFont="1" applyFill="1" applyBorder="1" applyAlignment="1" applyProtection="1">
      <alignment horizontal="center"/>
      <protection locked="0"/>
    </xf>
    <xf numFmtId="4" fontId="9" fillId="11" borderId="12" xfId="0" applyNumberFormat="1" applyFont="1" applyFill="1" applyBorder="1" applyAlignment="1" applyProtection="1">
      <alignment horizontal="center"/>
      <protection locked="0"/>
    </xf>
    <xf numFmtId="165" fontId="8" fillId="9" borderId="12" xfId="4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wrapText="1"/>
    </xf>
    <xf numFmtId="0" fontId="6" fillId="11" borderId="12" xfId="0" applyFont="1" applyFill="1" applyBorder="1" applyAlignment="1" applyProtection="1">
      <alignment horizontal="center"/>
      <protection locked="0"/>
    </xf>
    <xf numFmtId="0" fontId="6" fillId="0" borderId="12" xfId="0" applyFont="1" applyBorder="1"/>
    <xf numFmtId="0" fontId="11" fillId="9" borderId="12" xfId="0" applyFont="1" applyFill="1" applyBorder="1"/>
    <xf numFmtId="0" fontId="9" fillId="4" borderId="12" xfId="0" applyFont="1" applyFill="1" applyBorder="1" applyAlignment="1">
      <alignment horizontal="left" wrapText="1"/>
    </xf>
    <xf numFmtId="10" fontId="9" fillId="11" borderId="12" xfId="0" applyNumberFormat="1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>
      <alignment horizontal="center" wrapText="1"/>
    </xf>
    <xf numFmtId="165" fontId="14" fillId="7" borderId="12" xfId="4" applyNumberFormat="1" applyFont="1" applyFill="1" applyBorder="1" applyAlignment="1">
      <alignment horizontal="center" vertical="center"/>
    </xf>
    <xf numFmtId="166" fontId="15" fillId="11" borderId="12" xfId="0" applyNumberFormat="1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>
      <alignment horizontal="center"/>
    </xf>
    <xf numFmtId="165" fontId="9" fillId="0" borderId="12" xfId="0" applyNumberFormat="1" applyFont="1" applyBorder="1" applyAlignment="1">
      <alignment horizontal="center" vertical="center"/>
    </xf>
    <xf numFmtId="165" fontId="8" fillId="8" borderId="12" xfId="4" applyNumberFormat="1" applyFont="1" applyFill="1" applyBorder="1" applyAlignment="1">
      <alignment horizontal="center" vertical="center"/>
    </xf>
    <xf numFmtId="0" fontId="19" fillId="8" borderId="12" xfId="4" applyFont="1" applyFill="1" applyBorder="1" applyAlignment="1">
      <alignment horizontal="center"/>
    </xf>
    <xf numFmtId="0" fontId="0" fillId="0" borderId="12" xfId="0" applyBorder="1"/>
    <xf numFmtId="165" fontId="0" fillId="0" borderId="12" xfId="1" applyFont="1" applyBorder="1"/>
    <xf numFmtId="17" fontId="0" fillId="0" borderId="12" xfId="0" applyNumberFormat="1" applyBorder="1"/>
    <xf numFmtId="4" fontId="0" fillId="0" borderId="12" xfId="0" applyNumberFormat="1" applyBorder="1"/>
    <xf numFmtId="0" fontId="20" fillId="8" borderId="0" xfId="0" applyFont="1" applyFill="1" applyAlignment="1">
      <alignment horizontal="center" wrapText="1"/>
    </xf>
    <xf numFmtId="0" fontId="6" fillId="9" borderId="12" xfId="0" applyFont="1" applyFill="1" applyBorder="1" applyAlignment="1">
      <alignment horizontal="left" wrapText="1"/>
    </xf>
    <xf numFmtId="167" fontId="6" fillId="11" borderId="12" xfId="0" applyNumberFormat="1" applyFont="1" applyFill="1" applyBorder="1" applyAlignment="1" applyProtection="1">
      <alignment horizontal="center"/>
      <protection locked="0"/>
    </xf>
    <xf numFmtId="1" fontId="6" fillId="11" borderId="12" xfId="0" applyNumberFormat="1" applyFont="1" applyFill="1" applyBorder="1" applyAlignment="1" applyProtection="1">
      <alignment horizontal="center"/>
      <protection locked="0"/>
    </xf>
    <xf numFmtId="167" fontId="6" fillId="4" borderId="12" xfId="0" applyNumberFormat="1" applyFont="1" applyFill="1" applyBorder="1" applyAlignment="1" applyProtection="1">
      <alignment horizontal="center"/>
    </xf>
    <xf numFmtId="0" fontId="6" fillId="4" borderId="12" xfId="0" applyFont="1" applyFill="1" applyBorder="1"/>
    <xf numFmtId="166" fontId="6" fillId="11" borderId="12" xfId="0" applyNumberFormat="1" applyFont="1" applyFill="1" applyBorder="1" applyAlignment="1" applyProtection="1">
      <alignment horizontal="center"/>
      <protection locked="0"/>
    </xf>
    <xf numFmtId="0" fontId="21" fillId="10" borderId="12" xfId="0" applyFont="1" applyFill="1" applyBorder="1"/>
    <xf numFmtId="0" fontId="21" fillId="8" borderId="12" xfId="0" applyFont="1" applyFill="1" applyBorder="1" applyAlignment="1">
      <alignment textRotation="90"/>
    </xf>
    <xf numFmtId="0" fontId="21" fillId="9" borderId="12" xfId="0" applyFont="1" applyFill="1" applyBorder="1" applyAlignment="1">
      <alignment horizontal="center" wrapText="1"/>
    </xf>
    <xf numFmtId="0" fontId="6" fillId="10" borderId="12" xfId="0" applyFont="1" applyFill="1" applyBorder="1"/>
    <xf numFmtId="0" fontId="6" fillId="8" borderId="12" xfId="0" applyFont="1" applyFill="1" applyBorder="1" applyProtection="1">
      <protection locked="0"/>
    </xf>
    <xf numFmtId="4" fontId="6" fillId="9" borderId="12" xfId="0" applyNumberFormat="1" applyFont="1" applyFill="1" applyBorder="1"/>
    <xf numFmtId="14" fontId="6" fillId="0" borderId="0" xfId="0" applyNumberFormat="1" applyFont="1"/>
    <xf numFmtId="0" fontId="21" fillId="8" borderId="12" xfId="0" applyFont="1" applyFill="1" applyBorder="1"/>
    <xf numFmtId="0" fontId="21" fillId="0" borderId="12" xfId="0" applyFont="1" applyBorder="1"/>
    <xf numFmtId="4" fontId="21" fillId="10" borderId="12" xfId="0" applyNumberFormat="1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wrapText="1"/>
    </xf>
    <xf numFmtId="0" fontId="5" fillId="8" borderId="12" xfId="4" applyFont="1" applyFill="1" applyBorder="1" applyAlignment="1">
      <alignment horizontal="center"/>
    </xf>
    <xf numFmtId="0" fontId="1" fillId="9" borderId="12" xfId="5" applyFont="1" applyFill="1" applyBorder="1" applyAlignment="1">
      <alignment horizontal="center" vertical="center"/>
    </xf>
    <xf numFmtId="0" fontId="1" fillId="9" borderId="12" xfId="5" applyFont="1" applyFill="1" applyBorder="1" applyAlignment="1">
      <alignment horizontal="center" vertical="center" wrapText="1"/>
    </xf>
    <xf numFmtId="0" fontId="4" fillId="9" borderId="12" xfId="4" applyFill="1" applyBorder="1" applyAlignment="1">
      <alignment horizontal="center"/>
    </xf>
    <xf numFmtId="165" fontId="0" fillId="10" borderId="12" xfId="1" applyFont="1" applyFill="1" applyBorder="1"/>
    <xf numFmtId="165" fontId="0" fillId="8" borderId="12" xfId="1" applyFont="1" applyFill="1" applyBorder="1"/>
    <xf numFmtId="10" fontId="0" fillId="9" borderId="12" xfId="2" applyNumberFormat="1" applyFont="1" applyFill="1" applyBorder="1" applyAlignment="1">
      <alignment horizontal="center" vertical="center"/>
    </xf>
    <xf numFmtId="0" fontId="0" fillId="8" borderId="12" xfId="0" applyFont="1" applyFill="1" applyBorder="1"/>
  </cellXfs>
  <cellStyles count="7">
    <cellStyle name="20% - Énfasis1" xfId="5" builtinId="30"/>
    <cellStyle name="Encabezado 4" xfId="3" builtinId="19"/>
    <cellStyle name="Énfasis1" xfId="4" builtinId="29"/>
    <cellStyle name="Millares" xfId="6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E9883"/>
      <color rgb="FFAFDFD1"/>
      <color rgb="FF5EBEA3"/>
      <color rgb="FFEFEA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sametime.com/empezar/?utm_source=sesametime.com/assets/&amp;utm_medium=plantilla&amp;utm_campaign=offline&amp;utm_term=calculadora-imss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392906</xdr:colOff>
      <xdr:row>2</xdr:row>
      <xdr:rowOff>202406</xdr:rowOff>
    </xdr:from>
    <xdr:ext cx="3009900" cy="5581650"/>
    <xdr:pic>
      <xdr:nvPicPr>
        <xdr:cNvPr id="8" name="image2.gif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75" y="666750"/>
          <a:ext cx="3009900" cy="5581650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202406</xdr:colOff>
      <xdr:row>24</xdr:row>
      <xdr:rowOff>35718</xdr:rowOff>
    </xdr:from>
    <xdr:to>
      <xdr:col>15</xdr:col>
      <xdr:colOff>376237</xdr:colOff>
      <xdr:row>26</xdr:row>
      <xdr:rowOff>122711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7953375" y="5405437"/>
          <a:ext cx="1876425" cy="491805"/>
        </a:xfrm>
        <a:prstGeom prst="roundRect">
          <a:avLst/>
        </a:prstGeom>
        <a:solidFill>
          <a:srgbClr val="47B996"/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Regístrate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9883"/>
    <pageSetUpPr fitToPage="1"/>
  </sheetPr>
  <dimension ref="A1:Q44"/>
  <sheetViews>
    <sheetView showGridLines="0" tabSelected="1" zoomScale="80" zoomScaleNormal="80" zoomScalePageLayoutView="85" workbookViewId="0">
      <selection activeCell="R27" sqref="R27"/>
    </sheetView>
  </sheetViews>
  <sheetFormatPr baseColWidth="10" defaultRowHeight="14.25"/>
  <cols>
    <col min="1" max="1" width="13" style="26" customWidth="1" collapsed="1"/>
    <col min="2" max="2" width="56.85546875" style="26" customWidth="1" collapsed="1"/>
    <col min="3" max="3" width="11.42578125" style="26" bestFit="1" customWidth="1" collapsed="1"/>
    <col min="4" max="4" width="23.5703125" style="26" customWidth="1" collapsed="1"/>
    <col min="5" max="5" width="11.42578125" style="26" bestFit="1" customWidth="1" collapsed="1"/>
    <col min="6" max="6" width="25.5703125" style="27" customWidth="1" collapsed="1"/>
    <col min="7" max="7" width="50.140625" style="27" hidden="1" customWidth="1" collapsed="1"/>
    <col min="8" max="8" width="32.85546875" style="27" hidden="1" customWidth="1" collapsed="1"/>
    <col min="9" max="9" width="3.28515625" style="26" hidden="1" customWidth="1" collapsed="1"/>
    <col min="10" max="10" width="30.7109375" style="26" hidden="1" customWidth="1" collapsed="1"/>
    <col min="11" max="11" width="15.140625" style="26" hidden="1" customWidth="1" collapsed="1"/>
    <col min="12" max="12" width="11.42578125" style="26" hidden="1" customWidth="1" collapsed="1"/>
    <col min="13" max="13" width="34.140625" style="26" hidden="1" customWidth="1" collapsed="1"/>
    <col min="14" max="15" width="11.42578125" style="26" hidden="1" customWidth="1" collapsed="1"/>
    <col min="16" max="17" width="11.42578125" style="26" customWidth="1" collapsed="1"/>
    <col min="18" max="16384" width="11.42578125" style="26"/>
  </cols>
  <sheetData>
    <row r="1" spans="1:15" ht="7.15" customHeight="1"/>
    <row r="2" spans="1:15" ht="30" customHeight="1">
      <c r="A2" s="76" t="s">
        <v>103</v>
      </c>
      <c r="B2" s="76"/>
      <c r="C2" s="76"/>
      <c r="D2" s="76"/>
      <c r="E2" s="76"/>
      <c r="F2" s="75"/>
    </row>
    <row r="3" spans="1:15" ht="20.25">
      <c r="F3" s="28"/>
      <c r="G3" s="28"/>
      <c r="H3" s="28"/>
    </row>
    <row r="4" spans="1:15" ht="18.75" thickBot="1">
      <c r="B4" s="77" t="s">
        <v>66</v>
      </c>
      <c r="C4" s="77"/>
      <c r="D4" s="77"/>
      <c r="I4" s="29"/>
      <c r="J4" s="30"/>
      <c r="K4" s="30"/>
      <c r="L4" s="30"/>
      <c r="N4" s="31"/>
    </row>
    <row r="5" spans="1:15" ht="18.75" thickBot="1">
      <c r="B5" s="78" t="s">
        <v>65</v>
      </c>
      <c r="C5" s="79">
        <v>30.4</v>
      </c>
      <c r="D5" s="79"/>
      <c r="M5" s="32" t="s">
        <v>89</v>
      </c>
      <c r="N5" s="33">
        <f>DATOS!C7</f>
        <v>86.88</v>
      </c>
    </row>
    <row r="6" spans="1:15" ht="20.25">
      <c r="B6" s="78" t="s">
        <v>14</v>
      </c>
      <c r="C6" s="80">
        <v>15</v>
      </c>
      <c r="D6" s="80"/>
      <c r="F6" s="34"/>
      <c r="G6" s="34"/>
      <c r="H6" s="34"/>
      <c r="I6" s="35" t="s">
        <v>15</v>
      </c>
      <c r="J6" s="36" t="s">
        <v>16</v>
      </c>
      <c r="K6" s="33">
        <f>(C8/C6)*C5</f>
        <v>9120</v>
      </c>
      <c r="M6" s="37" t="s">
        <v>17</v>
      </c>
      <c r="N6" s="30">
        <f>N5*3</f>
        <v>260.64</v>
      </c>
      <c r="O6" s="30"/>
    </row>
    <row r="7" spans="1:15" ht="20.25">
      <c r="B7" s="78" t="s">
        <v>62</v>
      </c>
      <c r="C7" s="81">
        <v>300</v>
      </c>
      <c r="D7" s="81"/>
      <c r="F7" s="34"/>
      <c r="G7" s="34"/>
      <c r="H7" s="34"/>
      <c r="I7" s="38" t="s">
        <v>19</v>
      </c>
      <c r="J7" s="27" t="s">
        <v>20</v>
      </c>
      <c r="K7" s="39">
        <f>VLOOKUP(K6,'TARIFAS ISPT, SUBSIDO AL EMPLEO'!B5:E15,1)</f>
        <v>8629.2099999999991</v>
      </c>
      <c r="M7" s="37"/>
      <c r="N7" s="40"/>
    </row>
    <row r="8" spans="1:15" ht="18">
      <c r="B8" s="78" t="s">
        <v>18</v>
      </c>
      <c r="C8" s="82">
        <f>C6*C7</f>
        <v>4500</v>
      </c>
      <c r="D8" s="82"/>
      <c r="I8" s="38" t="s">
        <v>15</v>
      </c>
      <c r="J8" s="27" t="s">
        <v>21</v>
      </c>
      <c r="K8" s="39">
        <f>K6-K7</f>
        <v>490.79000000000087</v>
      </c>
      <c r="M8" s="37"/>
      <c r="N8" s="40"/>
    </row>
    <row r="9" spans="1:15">
      <c r="B9" s="27"/>
      <c r="C9" s="41"/>
      <c r="I9" s="38" t="s">
        <v>22</v>
      </c>
      <c r="J9" s="27" t="s">
        <v>23</v>
      </c>
      <c r="K9" s="42">
        <f>VLOOKUP(K6,'TARIFAS ISPT, SUBSIDO AL EMPLEO'!B5:E15,4)</f>
        <v>0.16</v>
      </c>
      <c r="M9" s="37" t="s">
        <v>24</v>
      </c>
      <c r="N9" s="43">
        <v>6.2500000000000003E-3</v>
      </c>
    </row>
    <row r="10" spans="1:15">
      <c r="B10" s="83" t="s">
        <v>9</v>
      </c>
      <c r="C10" s="84">
        <v>1</v>
      </c>
      <c r="D10" s="84"/>
      <c r="I10" s="38"/>
      <c r="J10" s="27" t="s">
        <v>25</v>
      </c>
      <c r="K10" s="39">
        <f>K8*K9</f>
        <v>78.526400000000137</v>
      </c>
      <c r="M10" s="37" t="s">
        <v>26</v>
      </c>
      <c r="N10" s="43">
        <v>1.125E-2</v>
      </c>
    </row>
    <row r="11" spans="1:15" ht="15">
      <c r="B11" s="85"/>
      <c r="C11" s="86">
        <v>1</v>
      </c>
      <c r="D11" s="86" t="s">
        <v>10</v>
      </c>
      <c r="I11" s="38" t="s">
        <v>27</v>
      </c>
      <c r="J11" s="27" t="s">
        <v>28</v>
      </c>
      <c r="K11" s="39">
        <f>VLOOKUP(K6,'TARIFAS ISPT, SUBSIDO AL EMPLEO'!B5:E15,3)</f>
        <v>692.96</v>
      </c>
      <c r="M11" s="37" t="s">
        <v>29</v>
      </c>
      <c r="N11" s="43">
        <v>2.5000000000000001E-3</v>
      </c>
    </row>
    <row r="12" spans="1:15" ht="15">
      <c r="B12" s="85"/>
      <c r="C12" s="86">
        <v>2</v>
      </c>
      <c r="D12" s="86" t="s">
        <v>12</v>
      </c>
      <c r="I12" s="38" t="s">
        <v>15</v>
      </c>
      <c r="J12" s="27" t="s">
        <v>30</v>
      </c>
      <c r="K12" s="44">
        <f>K11+K10</f>
        <v>771.48640000000023</v>
      </c>
      <c r="M12" s="37" t="s">
        <v>31</v>
      </c>
      <c r="N12" s="43">
        <v>3.7499999999999999E-3</v>
      </c>
    </row>
    <row r="13" spans="1:15" ht="15">
      <c r="B13" s="85"/>
      <c r="C13" s="86">
        <v>3</v>
      </c>
      <c r="D13" s="86" t="s">
        <v>11</v>
      </c>
      <c r="I13" s="38"/>
      <c r="J13" s="27"/>
      <c r="K13" s="40"/>
      <c r="M13" s="37" t="s">
        <v>32</v>
      </c>
      <c r="N13" s="40"/>
    </row>
    <row r="14" spans="1:15" ht="15">
      <c r="I14" s="38"/>
      <c r="J14" s="45" t="s">
        <v>34</v>
      </c>
      <c r="K14" s="40"/>
      <c r="M14" s="37"/>
      <c r="N14" s="40"/>
    </row>
    <row r="15" spans="1:15" ht="18">
      <c r="B15" s="87" t="s">
        <v>85</v>
      </c>
      <c r="C15" s="85"/>
      <c r="D15" s="85"/>
      <c r="I15" s="38"/>
      <c r="J15" s="27"/>
      <c r="K15" s="40"/>
      <c r="M15" s="46" t="s">
        <v>35</v>
      </c>
      <c r="N15" s="47">
        <f>SUM(N9:N12)</f>
        <v>2.375E-2</v>
      </c>
    </row>
    <row r="16" spans="1:15" ht="18">
      <c r="B16" s="78" t="s">
        <v>104</v>
      </c>
      <c r="C16" s="80">
        <v>6</v>
      </c>
      <c r="D16" s="80"/>
      <c r="I16" s="38" t="s">
        <v>37</v>
      </c>
      <c r="J16" s="27" t="s">
        <v>38</v>
      </c>
      <c r="K16" s="39">
        <f>(K12/C5)*C6</f>
        <v>380.66763157894752</v>
      </c>
      <c r="M16" s="37"/>
      <c r="N16" s="40"/>
    </row>
    <row r="17" spans="2:14" ht="18">
      <c r="B17" s="78" t="s">
        <v>86</v>
      </c>
      <c r="C17" s="88">
        <v>0.25</v>
      </c>
      <c r="D17" s="88"/>
      <c r="E17" s="27"/>
      <c r="G17" s="48"/>
      <c r="I17" s="38" t="s">
        <v>19</v>
      </c>
      <c r="J17" s="27" t="s">
        <v>39</v>
      </c>
      <c r="K17" s="39">
        <f>VLOOKUP(K6,'TARIFAS ISPT, SUBSIDO AL EMPLEO'!G5:I15,3)/C5*C6</f>
        <v>0</v>
      </c>
      <c r="M17" s="37"/>
      <c r="N17" s="40"/>
    </row>
    <row r="18" spans="2:14" ht="18">
      <c r="B18" s="78" t="s">
        <v>105</v>
      </c>
      <c r="C18" s="80">
        <v>15</v>
      </c>
      <c r="D18" s="80"/>
      <c r="E18" s="27"/>
      <c r="I18" s="38" t="s">
        <v>37</v>
      </c>
      <c r="J18" s="27" t="s">
        <v>41</v>
      </c>
      <c r="K18" s="39">
        <f>IF(K16&gt;K17,K16-K17,0)</f>
        <v>380.66763157894752</v>
      </c>
      <c r="M18" s="49" t="s">
        <v>42</v>
      </c>
      <c r="N18" s="50"/>
    </row>
    <row r="19" spans="2:14" ht="15" thickBot="1">
      <c r="E19" s="27"/>
      <c r="I19" s="51" t="s">
        <v>37</v>
      </c>
      <c r="J19" s="52" t="s">
        <v>43</v>
      </c>
      <c r="K19" s="53">
        <f>IF(K16&lt;K17,K17-K16,0)</f>
        <v>0</v>
      </c>
      <c r="M19" s="37" t="s">
        <v>44</v>
      </c>
      <c r="N19" s="39">
        <f>C20</f>
        <v>313.56164383561645</v>
      </c>
    </row>
    <row r="20" spans="2:14" ht="28.5">
      <c r="B20" s="89" t="s">
        <v>64</v>
      </c>
      <c r="C20" s="90">
        <f>'SBC 2020'!E3</f>
        <v>313.56164383561645</v>
      </c>
      <c r="D20" s="90"/>
      <c r="E20" s="27"/>
      <c r="M20" s="37" t="s">
        <v>46</v>
      </c>
      <c r="N20" s="40">
        <f>C6</f>
        <v>15</v>
      </c>
    </row>
    <row r="21" spans="2:14" ht="20.25">
      <c r="B21" s="89" t="s">
        <v>87</v>
      </c>
      <c r="C21" s="91">
        <v>15.023199999999999</v>
      </c>
      <c r="D21" s="91"/>
      <c r="E21" s="27"/>
      <c r="M21" s="37" t="s">
        <v>48</v>
      </c>
      <c r="N21" s="39">
        <f>N19*N20</f>
        <v>4703.4246575342468</v>
      </c>
    </row>
    <row r="22" spans="2:14">
      <c r="E22" s="27"/>
      <c r="M22" s="37" t="s">
        <v>49</v>
      </c>
      <c r="N22" s="43">
        <f>N15</f>
        <v>2.375E-2</v>
      </c>
    </row>
    <row r="23" spans="2:14">
      <c r="E23" s="27"/>
      <c r="M23" s="37" t="s">
        <v>50</v>
      </c>
      <c r="N23" s="39">
        <f>N21*N22</f>
        <v>111.70633561643837</v>
      </c>
    </row>
    <row r="24" spans="2:14" ht="18">
      <c r="B24" s="77" t="s">
        <v>33</v>
      </c>
      <c r="C24" s="77"/>
      <c r="D24" s="77"/>
      <c r="E24" s="27"/>
      <c r="M24" s="37"/>
      <c r="N24" s="40"/>
    </row>
    <row r="25" spans="2:14">
      <c r="B25" s="85"/>
      <c r="C25" s="85"/>
      <c r="D25" s="85"/>
      <c r="E25" s="27"/>
      <c r="M25" s="37" t="s">
        <v>51</v>
      </c>
      <c r="N25" s="54" t="str">
        <f>IF(N19&gt;N6,"SI","NO")</f>
        <v>SI</v>
      </c>
    </row>
    <row r="26" spans="2:14" ht="18">
      <c r="B26" s="92" t="s">
        <v>36</v>
      </c>
      <c r="C26" s="93">
        <f>C8</f>
        <v>4500</v>
      </c>
      <c r="D26" s="93"/>
      <c r="E26" s="27"/>
      <c r="M26" s="37"/>
      <c r="N26" s="40"/>
    </row>
    <row r="27" spans="2:14" ht="18">
      <c r="B27" s="92" t="s">
        <v>98</v>
      </c>
      <c r="C27" s="93">
        <f>K16</f>
        <v>380.66763157894752</v>
      </c>
      <c r="D27" s="93"/>
      <c r="M27" s="37" t="s">
        <v>52</v>
      </c>
      <c r="N27" s="39">
        <f>IF(N25="SI",N19-N6,0)</f>
        <v>52.921643835616464</v>
      </c>
    </row>
    <row r="28" spans="2:14" ht="18">
      <c r="B28" s="92" t="s">
        <v>40</v>
      </c>
      <c r="C28" s="93">
        <f>K17</f>
        <v>0</v>
      </c>
      <c r="D28" s="93"/>
      <c r="E28" s="27"/>
      <c r="M28" s="37" t="s">
        <v>46</v>
      </c>
      <c r="N28" s="40">
        <f>N20</f>
        <v>15</v>
      </c>
    </row>
    <row r="29" spans="2:14" ht="20.25">
      <c r="B29" s="92" t="str">
        <f>IF(C29&gt;0,"ISPT A CARGO ","SUBSIDIO A FAVOR")</f>
        <v xml:space="preserve">ISPT A CARGO </v>
      </c>
      <c r="C29" s="93">
        <f>C27-C28</f>
        <v>380.66763157894752</v>
      </c>
      <c r="D29" s="93"/>
      <c r="E29" s="55"/>
      <c r="F29" s="55"/>
      <c r="G29" s="55"/>
      <c r="M29" s="37" t="s">
        <v>53</v>
      </c>
      <c r="N29" s="39">
        <f>N27*N28</f>
        <v>793.82465753424697</v>
      </c>
    </row>
    <row r="30" spans="2:14" ht="20.25">
      <c r="B30" s="92" t="s">
        <v>45</v>
      </c>
      <c r="C30" s="93">
        <f>N34</f>
        <v>114.88163424657536</v>
      </c>
      <c r="D30" s="93"/>
      <c r="E30" s="56"/>
      <c r="F30" s="56"/>
      <c r="G30" s="56"/>
      <c r="M30" s="37" t="s">
        <v>54</v>
      </c>
      <c r="N30" s="42">
        <f>0.004</f>
        <v>4.0000000000000001E-3</v>
      </c>
    </row>
    <row r="31" spans="2:14" ht="20.25">
      <c r="B31" s="92" t="s">
        <v>63</v>
      </c>
      <c r="C31" s="93">
        <f>DATOS!D26</f>
        <v>667.48251661016945</v>
      </c>
      <c r="D31" s="93"/>
      <c r="E31" s="57"/>
      <c r="F31" s="57"/>
      <c r="G31" s="57"/>
      <c r="M31" s="37" t="s">
        <v>55</v>
      </c>
      <c r="N31" s="39">
        <f>N29*N30</f>
        <v>3.1752986301369881</v>
      </c>
    </row>
    <row r="32" spans="2:14" ht="18">
      <c r="B32" s="95" t="s">
        <v>47</v>
      </c>
      <c r="C32" s="94">
        <f>C26-C29-C30-C31</f>
        <v>3336.9682175643079</v>
      </c>
      <c r="D32" s="94"/>
      <c r="E32" s="27"/>
      <c r="M32" s="37" t="s">
        <v>56</v>
      </c>
      <c r="N32" s="39">
        <f>N23</f>
        <v>111.70633561643837</v>
      </c>
    </row>
    <row r="33" spans="2:14">
      <c r="E33" s="27"/>
      <c r="M33" s="37"/>
      <c r="N33" s="40"/>
    </row>
    <row r="34" spans="2:14" ht="15" thickBot="1">
      <c r="B34" s="27"/>
      <c r="C34" s="27"/>
      <c r="D34" s="27"/>
      <c r="E34" s="58"/>
      <c r="F34" s="58"/>
      <c r="M34" s="59" t="s">
        <v>57</v>
      </c>
      <c r="N34" s="60">
        <f>+N31+N32</f>
        <v>114.88163424657536</v>
      </c>
    </row>
    <row r="35" spans="2:14" ht="20.25">
      <c r="B35" s="72" t="s">
        <v>102</v>
      </c>
      <c r="C35" s="61"/>
      <c r="D35" s="61"/>
      <c r="E35" s="62"/>
      <c r="F35" s="62"/>
    </row>
    <row r="36" spans="2:14" ht="15.75" customHeight="1">
      <c r="B36" s="73" t="s">
        <v>101</v>
      </c>
      <c r="C36" s="62"/>
      <c r="D36" s="63"/>
      <c r="E36" s="63"/>
      <c r="F36" s="63"/>
    </row>
    <row r="37" spans="2:14" ht="14.25" customHeight="1">
      <c r="B37" s="73"/>
      <c r="C37" s="64"/>
      <c r="D37" s="65"/>
      <c r="E37" s="66"/>
      <c r="F37" s="66"/>
    </row>
    <row r="38" spans="2:14" ht="14.25" customHeight="1">
      <c r="B38" s="73"/>
      <c r="C38" s="64"/>
      <c r="D38" s="58"/>
      <c r="E38" s="58"/>
      <c r="F38" s="58"/>
    </row>
    <row r="39" spans="2:14" ht="15" customHeight="1">
      <c r="B39" s="73"/>
      <c r="C39" s="58"/>
      <c r="D39" s="58"/>
      <c r="E39" s="74"/>
      <c r="F39" s="74"/>
    </row>
    <row r="40" spans="2:14">
      <c r="B40" s="58"/>
      <c r="C40" s="67"/>
      <c r="D40" s="58"/>
      <c r="E40" s="58"/>
      <c r="F40" s="68"/>
    </row>
    <row r="41" spans="2:14" ht="60" customHeight="1">
      <c r="B41" s="58"/>
      <c r="C41" s="58"/>
      <c r="D41" s="69"/>
      <c r="E41" s="58"/>
      <c r="F41" s="68"/>
    </row>
    <row r="42" spans="2:14">
      <c r="B42" s="58"/>
      <c r="C42" s="58"/>
      <c r="D42" s="69"/>
      <c r="E42" s="58"/>
      <c r="F42" s="68"/>
    </row>
    <row r="43" spans="2:14">
      <c r="B43" s="58"/>
      <c r="C43" s="58"/>
      <c r="D43" s="69"/>
      <c r="E43" s="58"/>
      <c r="F43" s="70"/>
    </row>
    <row r="44" spans="2:14" ht="15">
      <c r="B44" s="71"/>
      <c r="C44" s="58"/>
      <c r="D44" s="69"/>
      <c r="E44" s="58"/>
      <c r="F44" s="68"/>
    </row>
  </sheetData>
  <mergeCells count="24">
    <mergeCell ref="A2:E2"/>
    <mergeCell ref="C21:D21"/>
    <mergeCell ref="C8:D8"/>
    <mergeCell ref="M18:N18"/>
    <mergeCell ref="C10:D10"/>
    <mergeCell ref="C16:D16"/>
    <mergeCell ref="C17:D17"/>
    <mergeCell ref="C18:D18"/>
    <mergeCell ref="C26:D26"/>
    <mergeCell ref="C27:D27"/>
    <mergeCell ref="C28:D28"/>
    <mergeCell ref="C29:D29"/>
    <mergeCell ref="C30:D30"/>
    <mergeCell ref="C31:D31"/>
    <mergeCell ref="C32:D32"/>
    <mergeCell ref="B24:D24"/>
    <mergeCell ref="C20:D20"/>
    <mergeCell ref="F3:H3"/>
    <mergeCell ref="F6:H6"/>
    <mergeCell ref="F7:H7"/>
    <mergeCell ref="B4:D4"/>
    <mergeCell ref="C5:D5"/>
    <mergeCell ref="C6:D6"/>
    <mergeCell ref="C7:D7"/>
  </mergeCells>
  <dataValidations count="4">
    <dataValidation type="list" allowBlank="1" showInputMessage="1" showErrorMessage="1" sqref="D11 C10">
      <formula1>VALORdesc</formula1>
    </dataValidation>
    <dataValidation type="list" allowBlank="1" showInputMessage="1" showErrorMessage="1" errorTitle="SBC" error="Solo se permiten datos de la lista" sqref="C37">
      <formula1>SM</formula1>
    </dataValidation>
    <dataValidation type="list" allowBlank="1" showInputMessage="1" showErrorMessage="1" errorTitle="SBC" error="Solo se permiten datos de la lista" sqref="C42">
      <formula1>AREA</formula1>
    </dataValidation>
    <dataValidation type="custom" allowBlank="1" showInputMessage="1" showErrorMessage="1" errorTitle="SBC" error="La celda tiene formula" sqref="E37:F37">
      <formula1>""</formula1>
    </dataValidation>
  </dataValidations>
  <pageMargins left="0.15748031496062992" right="0.15748031496062992" top="0.31496062992125984" bottom="0.27559055118110237" header="0.31496062992125984" footer="0.31496062992125984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FDFD1"/>
  </sheetPr>
  <dimension ref="A2:I26"/>
  <sheetViews>
    <sheetView workbookViewId="0">
      <selection activeCell="G15" sqref="G15"/>
    </sheetView>
  </sheetViews>
  <sheetFormatPr baseColWidth="10" defaultRowHeight="14.25"/>
  <cols>
    <col min="1" max="1" width="12.7109375" style="26" customWidth="1" collapsed="1"/>
    <col min="2" max="2" width="30.42578125" style="26" customWidth="1" collapsed="1"/>
    <col min="3" max="3" width="3.28515625" style="26" customWidth="1" collapsed="1"/>
    <col min="4" max="4" width="15.42578125" style="26" customWidth="1" collapsed="1"/>
    <col min="5" max="5" width="4" style="26" customWidth="1" collapsed="1"/>
    <col min="6" max="6" width="13.28515625" style="26" customWidth="1" collapsed="1"/>
    <col min="7" max="7" width="3.42578125" style="26" customWidth="1" collapsed="1"/>
    <col min="8" max="8" width="11.85546875" style="26" bestFit="1" customWidth="1" collapsed="1"/>
    <col min="9" max="9" width="4" style="26" customWidth="1" collapsed="1"/>
    <col min="10" max="16384" width="11.42578125" style="26"/>
  </cols>
  <sheetData>
    <row r="2" spans="2:7" ht="31.5" customHeight="1">
      <c r="B2" s="100" t="s">
        <v>88</v>
      </c>
      <c r="C2" s="100"/>
      <c r="D2" s="100"/>
    </row>
    <row r="4" spans="2:7" ht="19.5" customHeight="1">
      <c r="B4" s="101" t="s">
        <v>106</v>
      </c>
      <c r="C4" s="84">
        <f>'Info IMSS Colaborador 2020'!C6:D6</f>
        <v>15</v>
      </c>
      <c r="D4" s="84"/>
    </row>
    <row r="5" spans="2:7" ht="19.5" customHeight="1">
      <c r="B5" s="101" t="s">
        <v>97</v>
      </c>
      <c r="C5" s="102">
        <v>123.22</v>
      </c>
      <c r="D5" s="102">
        <v>80.040000000000006</v>
      </c>
    </row>
    <row r="6" spans="2:7" ht="19.5" customHeight="1">
      <c r="B6" s="101" t="s">
        <v>107</v>
      </c>
      <c r="C6" s="103">
        <v>2020</v>
      </c>
      <c r="D6" s="103"/>
    </row>
    <row r="7" spans="2:7" ht="19.5" customHeight="1">
      <c r="B7" s="101" t="s">
        <v>108</v>
      </c>
      <c r="C7" s="104">
        <f>VLOOKUP(C6,'TARIFAS ISPT, SUBSIDO AL EMPLEO'!B20:D21,3)</f>
        <v>86.88</v>
      </c>
      <c r="D7" s="104"/>
    </row>
    <row r="8" spans="2:7">
      <c r="B8" s="101" t="s">
        <v>109</v>
      </c>
      <c r="C8" s="102">
        <v>15</v>
      </c>
      <c r="D8" s="102"/>
    </row>
    <row r="9" spans="2:7" ht="19.5" customHeight="1">
      <c r="B9" s="101" t="s">
        <v>110</v>
      </c>
      <c r="C9" s="84">
        <f>'Info IMSS Colaborador 2020'!C10:D10</f>
        <v>1</v>
      </c>
      <c r="D9" s="84"/>
    </row>
    <row r="10" spans="2:7">
      <c r="B10" s="85"/>
      <c r="C10" s="105">
        <v>1</v>
      </c>
      <c r="D10" s="105" t="s">
        <v>10</v>
      </c>
    </row>
    <row r="11" spans="2:7">
      <c r="B11" s="85"/>
      <c r="C11" s="105">
        <v>2</v>
      </c>
      <c r="D11" s="105" t="s">
        <v>12</v>
      </c>
    </row>
    <row r="12" spans="2:7">
      <c r="B12" s="85"/>
      <c r="C12" s="105">
        <v>3</v>
      </c>
      <c r="D12" s="105" t="s">
        <v>11</v>
      </c>
    </row>
    <row r="13" spans="2:7">
      <c r="B13" s="101" t="s">
        <v>111</v>
      </c>
      <c r="C13" s="84">
        <f>'Info IMSS Colaborador 2020'!C20:D20</f>
        <v>313.56164383561645</v>
      </c>
      <c r="D13" s="84"/>
    </row>
    <row r="14" spans="2:7">
      <c r="B14" s="101" t="s">
        <v>112</v>
      </c>
      <c r="C14" s="106">
        <f>'Info IMSS Colaborador 2020'!C21:D21</f>
        <v>15.023199999999999</v>
      </c>
      <c r="D14" s="106"/>
    </row>
    <row r="15" spans="2:7" ht="51" customHeight="1">
      <c r="B15" s="107" t="s">
        <v>114</v>
      </c>
      <c r="C15" s="108" t="s">
        <v>1</v>
      </c>
      <c r="D15" s="109" t="s">
        <v>113</v>
      </c>
    </row>
    <row r="16" spans="2:7">
      <c r="B16" s="110" t="s">
        <v>3</v>
      </c>
      <c r="C16" s="111"/>
      <c r="D16" s="112">
        <f>VLOOKUP(C9,result,3)</f>
        <v>2625.4312319999999</v>
      </c>
      <c r="G16" s="113"/>
    </row>
    <row r="17" spans="2:6">
      <c r="B17" s="110" t="s">
        <v>4</v>
      </c>
      <c r="C17" s="111"/>
      <c r="D17" s="112">
        <f>VLOOKUP(C9,result,4)</f>
        <v>2625.4312319999999</v>
      </c>
    </row>
    <row r="18" spans="2:6">
      <c r="B18" s="110" t="s">
        <v>5</v>
      </c>
      <c r="C18" s="111"/>
      <c r="D18" s="112">
        <f>VLOOKUP(C9,result,5)</f>
        <v>2625.4312319999999</v>
      </c>
    </row>
    <row r="19" spans="2:6">
      <c r="B19" s="110" t="s">
        <v>6</v>
      </c>
      <c r="C19" s="111"/>
      <c r="D19" s="112">
        <f>VLOOKUP(C9,result,6)</f>
        <v>2625.4312319999999</v>
      </c>
    </row>
    <row r="20" spans="2:6">
      <c r="B20" s="110" t="s">
        <v>7</v>
      </c>
      <c r="C20" s="111"/>
      <c r="D20" s="112">
        <f>VLOOKUP(C9,result,7)</f>
        <v>2625.4312319999999</v>
      </c>
    </row>
    <row r="21" spans="2:6">
      <c r="B21" s="110" t="s">
        <v>8</v>
      </c>
      <c r="C21" s="111"/>
      <c r="D21" s="112">
        <f>VLOOKUP(C9,result,8)</f>
        <v>2625.4312319999999</v>
      </c>
    </row>
    <row r="22" spans="2:6">
      <c r="B22" s="85"/>
      <c r="C22" s="85"/>
      <c r="D22" s="85"/>
    </row>
    <row r="23" spans="2:6" ht="15">
      <c r="B23" s="114" t="s">
        <v>115</v>
      </c>
      <c r="C23" s="115"/>
      <c r="D23" s="116">
        <f>SUM(D16:D22)</f>
        <v>15752.587391999998</v>
      </c>
      <c r="F23" s="26">
        <f>IF(15,0,D24)</f>
        <v>0</v>
      </c>
    </row>
    <row r="24" spans="2:6" ht="32.25" customHeight="1">
      <c r="B24" s="117" t="s">
        <v>116</v>
      </c>
      <c r="C24" s="85"/>
      <c r="D24" s="116">
        <f>VLOOKUP(C9,result,2)*C4</f>
        <v>667.48251661016945</v>
      </c>
    </row>
    <row r="25" spans="2:6">
      <c r="B25" s="85"/>
      <c r="C25" s="85"/>
      <c r="D25" s="85"/>
    </row>
    <row r="26" spans="2:6" ht="15">
      <c r="B26" s="85"/>
      <c r="C26" s="85"/>
      <c r="D26" s="116">
        <f>IF(D24&gt;3.82,D24,0)</f>
        <v>667.48251661016945</v>
      </c>
    </row>
  </sheetData>
  <mergeCells count="9">
    <mergeCell ref="C14:D14"/>
    <mergeCell ref="C4:D4"/>
    <mergeCell ref="B2:D2"/>
    <mergeCell ref="C9:D9"/>
    <mergeCell ref="C8:D8"/>
    <mergeCell ref="C7:D7"/>
    <mergeCell ref="C13:D13"/>
    <mergeCell ref="C5:D5"/>
    <mergeCell ref="C6:D6"/>
  </mergeCells>
  <dataValidations count="1">
    <dataValidation type="list" allowBlank="1" showInputMessage="1" showErrorMessage="1" sqref="D10 C9">
      <formula1>VALORdesc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8" sqref="B8"/>
    </sheetView>
  </sheetViews>
  <sheetFormatPr baseColWidth="10" defaultRowHeight="15"/>
  <cols>
    <col min="1" max="1" width="26.85546875" customWidth="1" collapsed="1"/>
    <col min="2" max="2" width="12.85546875" customWidth="1" collapsed="1"/>
    <col min="3" max="4" width="13.42578125" customWidth="1" collapsed="1"/>
    <col min="5" max="5" width="13.7109375" customWidth="1" collapsed="1"/>
  </cols>
  <sheetData>
    <row r="1" spans="1:5" s="18" customFormat="1">
      <c r="C1" s="24" t="s">
        <v>44</v>
      </c>
      <c r="D1" s="24"/>
      <c r="E1" s="24"/>
    </row>
    <row r="2" spans="1:5" s="18" customFormat="1">
      <c r="A2" s="19" t="s">
        <v>67</v>
      </c>
      <c r="B2" s="19" t="s">
        <v>68</v>
      </c>
      <c r="C2" s="20" t="s">
        <v>69</v>
      </c>
      <c r="D2" s="20" t="s">
        <v>70</v>
      </c>
      <c r="E2" s="20" t="s">
        <v>71</v>
      </c>
    </row>
    <row r="3" spans="1:5">
      <c r="A3" s="9" t="s">
        <v>90</v>
      </c>
      <c r="B3" s="10">
        <f>DATOS!C5</f>
        <v>123.22</v>
      </c>
      <c r="C3" s="11">
        <f>IF(AND(B4&lt;&gt;"",ISNUMBER(E10)),(B4*E10),0)</f>
        <v>313.56164383561645</v>
      </c>
      <c r="D3" s="9">
        <v>0</v>
      </c>
      <c r="E3" s="12">
        <f>SUMIF(C3:D3,"&gt;0")</f>
        <v>313.56164383561645</v>
      </c>
    </row>
    <row r="4" spans="1:5">
      <c r="A4" s="9" t="s">
        <v>72</v>
      </c>
      <c r="B4" s="10">
        <f>'Info IMSS Colaborador 2020'!C7</f>
        <v>300</v>
      </c>
    </row>
    <row r="5" spans="1:5">
      <c r="A5" s="9" t="s">
        <v>73</v>
      </c>
      <c r="B5" s="9">
        <f>+'Info IMSS Colaborador 2020'!C16</f>
        <v>6</v>
      </c>
      <c r="D5" s="25" t="s">
        <v>74</v>
      </c>
      <c r="E5" s="25"/>
    </row>
    <row r="6" spans="1:5">
      <c r="A6" s="9" t="s">
        <v>75</v>
      </c>
      <c r="B6" s="13">
        <f>'Info IMSS Colaborador 2020'!C17</f>
        <v>0.25</v>
      </c>
      <c r="D6" t="s">
        <v>76</v>
      </c>
      <c r="E6" s="2">
        <f>IF(AND(B5&lt;&gt;"",B6&lt;&gt;""),(B5/365)*B6,"")</f>
        <v>4.10958904109589E-3</v>
      </c>
    </row>
    <row r="7" spans="1:5">
      <c r="A7" s="9" t="s">
        <v>77</v>
      </c>
      <c r="B7" s="9">
        <f>+'Info IMSS Colaborador 2020'!C18</f>
        <v>15</v>
      </c>
      <c r="C7" s="14" t="s">
        <v>78</v>
      </c>
      <c r="D7" t="s">
        <v>79</v>
      </c>
      <c r="E7" s="15">
        <f>IF(B7&lt;&gt;"",B7/365,"")</f>
        <v>4.1095890410958902E-2</v>
      </c>
    </row>
    <row r="8" spans="1:5">
      <c r="A8" s="16" t="s">
        <v>80</v>
      </c>
      <c r="B8" s="9" t="s">
        <v>92</v>
      </c>
      <c r="C8" s="14" t="s">
        <v>81</v>
      </c>
      <c r="D8" t="s">
        <v>71</v>
      </c>
      <c r="E8" s="2">
        <f>IF(AND(ISNUMBER(E6),ISNUMBER(E7)),E6+E7,"")</f>
        <v>4.5205479452054789E-2</v>
      </c>
    </row>
    <row r="9" spans="1:5">
      <c r="C9" s="14" t="s">
        <v>78</v>
      </c>
      <c r="D9" t="s">
        <v>82</v>
      </c>
      <c r="E9" s="17">
        <v>1</v>
      </c>
    </row>
    <row r="10" spans="1:5" s="18" customFormat="1" ht="15.75" thickBot="1">
      <c r="A10" s="21" t="s">
        <v>83</v>
      </c>
      <c r="C10" s="22" t="s">
        <v>81</v>
      </c>
      <c r="D10" s="18" t="s">
        <v>84</v>
      </c>
      <c r="E10" s="23">
        <f>IF(ISNUMBER(E8),E8+E9,"")</f>
        <v>1.0452054794520549</v>
      </c>
    </row>
    <row r="11" spans="1:5" ht="15.75" thickTop="1"/>
  </sheetData>
  <mergeCells count="2">
    <mergeCell ref="C1:E1"/>
    <mergeCell ref="D5:E5"/>
  </mergeCells>
  <dataValidations count="2">
    <dataValidation type="list" allowBlank="1" showInputMessage="1" showErrorMessage="1" errorTitle="SBC" error="Solo se permiten datos de la lista" sqref="B3">
      <formula1>SM</formula1>
    </dataValidation>
    <dataValidation type="custom" allowBlank="1" showInputMessage="1" showErrorMessage="1" errorTitle="SBC" error="La celda tiene formula" sqref="E3">
      <formula1>""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EBEA3"/>
  </sheetPr>
  <dimension ref="B2:O21"/>
  <sheetViews>
    <sheetView workbookViewId="0">
      <selection activeCell="B2" sqref="B2:E2"/>
    </sheetView>
  </sheetViews>
  <sheetFormatPr baseColWidth="10" defaultRowHeight="15"/>
  <cols>
    <col min="2" max="2" width="13.7109375" bestFit="1" customWidth="1" collapsed="1"/>
    <col min="3" max="3" width="16.28515625" bestFit="1" customWidth="1" collapsed="1"/>
    <col min="4" max="4" width="12.28515625" customWidth="1" collapsed="1"/>
    <col min="5" max="5" width="20.28515625" customWidth="1" collapsed="1"/>
    <col min="7" max="7" width="21.85546875" customWidth="1" collapsed="1"/>
    <col min="8" max="8" width="17" customWidth="1" collapsed="1"/>
    <col min="9" max="9" width="12.140625" customWidth="1" collapsed="1"/>
    <col min="11" max="11" width="13.28515625" bestFit="1" customWidth="1" collapsed="1"/>
    <col min="13" max="13" width="12.85546875" customWidth="1" collapsed="1"/>
    <col min="14" max="14" width="12.42578125" bestFit="1" customWidth="1" collapsed="1"/>
    <col min="15" max="15" width="16.42578125" customWidth="1" collapsed="1"/>
  </cols>
  <sheetData>
    <row r="2" spans="2:9" ht="18.75">
      <c r="B2" s="118" t="s">
        <v>94</v>
      </c>
      <c r="C2" s="118"/>
      <c r="D2" s="118"/>
      <c r="E2" s="118"/>
      <c r="F2" s="8"/>
      <c r="G2" s="118" t="s">
        <v>95</v>
      </c>
      <c r="H2" s="118"/>
      <c r="I2" s="118"/>
    </row>
    <row r="3" spans="2:9">
      <c r="B3" s="96"/>
      <c r="C3" s="96"/>
      <c r="D3" s="96"/>
      <c r="E3" s="96"/>
      <c r="G3" s="96"/>
      <c r="H3" s="96"/>
      <c r="I3" s="96"/>
    </row>
    <row r="4" spans="2:9">
      <c r="B4" s="119" t="s">
        <v>58</v>
      </c>
      <c r="C4" s="119" t="s">
        <v>59</v>
      </c>
      <c r="D4" s="119" t="s">
        <v>60</v>
      </c>
      <c r="E4" s="120" t="s">
        <v>61</v>
      </c>
      <c r="G4" s="119" t="s">
        <v>58</v>
      </c>
      <c r="H4" s="119" t="s">
        <v>59</v>
      </c>
      <c r="I4" s="119" t="s">
        <v>60</v>
      </c>
    </row>
    <row r="5" spans="2:9">
      <c r="B5" s="122">
        <v>0.01</v>
      </c>
      <c r="C5" s="123">
        <v>578.52</v>
      </c>
      <c r="D5" s="97">
        <v>0</v>
      </c>
      <c r="E5" s="124">
        <v>1.9199999999999998E-2</v>
      </c>
      <c r="G5" s="122">
        <v>0.01</v>
      </c>
      <c r="H5" s="123">
        <v>1768.96</v>
      </c>
      <c r="I5" s="97">
        <v>407.02</v>
      </c>
    </row>
    <row r="6" spans="2:9">
      <c r="B6" s="122">
        <v>578.53</v>
      </c>
      <c r="C6" s="123">
        <v>4910.18</v>
      </c>
      <c r="D6" s="97">
        <v>11.11</v>
      </c>
      <c r="E6" s="124">
        <v>6.4000000000000001E-2</v>
      </c>
      <c r="G6" s="122">
        <v>1768.97</v>
      </c>
      <c r="H6" s="123">
        <v>2653.38</v>
      </c>
      <c r="I6" s="97">
        <v>406.83</v>
      </c>
    </row>
    <row r="7" spans="2:9">
      <c r="B7" s="122">
        <v>4910.1899999999996</v>
      </c>
      <c r="C7" s="123">
        <v>8629.2000000000007</v>
      </c>
      <c r="D7" s="97">
        <v>288.33</v>
      </c>
      <c r="E7" s="124">
        <v>0.10879999999999999</v>
      </c>
      <c r="G7" s="122">
        <v>2653.39</v>
      </c>
      <c r="H7" s="123">
        <v>3472.84</v>
      </c>
      <c r="I7" s="97">
        <v>406.62</v>
      </c>
    </row>
    <row r="8" spans="2:9">
      <c r="B8" s="122">
        <v>8629.2099999999991</v>
      </c>
      <c r="C8" s="123">
        <v>10031.07</v>
      </c>
      <c r="D8" s="97">
        <v>692.96</v>
      </c>
      <c r="E8" s="124">
        <v>0.16</v>
      </c>
      <c r="G8" s="122">
        <v>3472.85</v>
      </c>
      <c r="H8" s="123">
        <v>3537.87</v>
      </c>
      <c r="I8" s="97">
        <v>392.77</v>
      </c>
    </row>
    <row r="9" spans="2:9">
      <c r="B9" s="122">
        <v>10031.08</v>
      </c>
      <c r="C9" s="123">
        <v>12009.94</v>
      </c>
      <c r="D9" s="97">
        <v>917.26</v>
      </c>
      <c r="E9" s="124">
        <v>0.1792</v>
      </c>
      <c r="G9" s="122">
        <v>3537.88</v>
      </c>
      <c r="H9" s="123">
        <v>4446.1499999999996</v>
      </c>
      <c r="I9" s="97">
        <v>382.46</v>
      </c>
    </row>
    <row r="10" spans="2:9">
      <c r="B10" s="122">
        <v>12009.95</v>
      </c>
      <c r="C10" s="123">
        <v>24222.31</v>
      </c>
      <c r="D10" s="97">
        <v>1271.8699999999999</v>
      </c>
      <c r="E10" s="124">
        <v>0.21360000000000001</v>
      </c>
      <c r="G10" s="122">
        <v>4446.16</v>
      </c>
      <c r="H10" s="123">
        <v>4717.18</v>
      </c>
      <c r="I10" s="97">
        <v>354.23</v>
      </c>
    </row>
    <row r="11" spans="2:9">
      <c r="B11" s="122">
        <v>24222.32</v>
      </c>
      <c r="C11" s="123">
        <v>38177.69</v>
      </c>
      <c r="D11" s="97">
        <v>3880.44</v>
      </c>
      <c r="E11" s="124">
        <v>0.23519999999999999</v>
      </c>
      <c r="G11" s="122">
        <v>4717.1899999999996</v>
      </c>
      <c r="H11" s="123">
        <v>5335.42</v>
      </c>
      <c r="I11" s="97">
        <v>324.87</v>
      </c>
    </row>
    <row r="12" spans="2:9">
      <c r="B12" s="122">
        <v>38177.699999999997</v>
      </c>
      <c r="C12" s="123">
        <v>72887.5</v>
      </c>
      <c r="D12" s="97">
        <v>7162.74</v>
      </c>
      <c r="E12" s="124">
        <v>0.3</v>
      </c>
      <c r="G12" s="122">
        <v>5335.43</v>
      </c>
      <c r="H12" s="123">
        <v>6224.67</v>
      </c>
      <c r="I12" s="97">
        <v>294.63</v>
      </c>
    </row>
    <row r="13" spans="2:9">
      <c r="B13" s="122">
        <v>72887.509999999995</v>
      </c>
      <c r="C13" s="123">
        <v>97183.33</v>
      </c>
      <c r="D13" s="97">
        <v>17575.689999999999</v>
      </c>
      <c r="E13" s="124">
        <v>0.32</v>
      </c>
      <c r="G13" s="122">
        <v>6224.68</v>
      </c>
      <c r="H13" s="123">
        <v>7113.9</v>
      </c>
      <c r="I13" s="97">
        <v>253.54</v>
      </c>
    </row>
    <row r="14" spans="2:9">
      <c r="B14" s="122">
        <v>97183.34</v>
      </c>
      <c r="C14" s="123">
        <v>291550</v>
      </c>
      <c r="D14" s="97">
        <v>25350.35</v>
      </c>
      <c r="E14" s="124">
        <v>0.34</v>
      </c>
      <c r="G14" s="122">
        <v>7113.91</v>
      </c>
      <c r="H14" s="123">
        <v>7382.33</v>
      </c>
      <c r="I14" s="97">
        <v>217.61</v>
      </c>
    </row>
    <row r="15" spans="2:9">
      <c r="B15" s="122">
        <v>291550.01</v>
      </c>
      <c r="C15" s="123">
        <v>999999999</v>
      </c>
      <c r="D15" s="97">
        <v>91435.02</v>
      </c>
      <c r="E15" s="124">
        <v>0.35</v>
      </c>
      <c r="G15" s="122">
        <v>7382.34</v>
      </c>
      <c r="H15" s="123">
        <v>999999999</v>
      </c>
      <c r="I15" s="97">
        <v>0</v>
      </c>
    </row>
    <row r="19" spans="2:5">
      <c r="B19" s="121" t="s">
        <v>96</v>
      </c>
      <c r="C19" s="121"/>
      <c r="D19" s="121"/>
      <c r="E19" s="121"/>
    </row>
    <row r="20" spans="2:5">
      <c r="B20" s="96">
        <v>2019</v>
      </c>
      <c r="C20" s="98">
        <v>43831</v>
      </c>
      <c r="D20" s="99">
        <v>84.49</v>
      </c>
      <c r="E20" s="125" t="s">
        <v>93</v>
      </c>
    </row>
    <row r="21" spans="2:5">
      <c r="B21" s="96">
        <v>2020</v>
      </c>
      <c r="C21" s="96" t="s">
        <v>99</v>
      </c>
      <c r="D21" s="96">
        <v>86.88</v>
      </c>
      <c r="E21" s="125" t="s">
        <v>100</v>
      </c>
    </row>
  </sheetData>
  <mergeCells count="3">
    <mergeCell ref="B2:E2"/>
    <mergeCell ref="G2:I2"/>
    <mergeCell ref="B19:E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C2" sqref="C2"/>
    </sheetView>
  </sheetViews>
  <sheetFormatPr baseColWidth="10" defaultRowHeight="15"/>
  <cols>
    <col min="1" max="1" width="4.42578125" customWidth="1" collapsed="1"/>
    <col min="2" max="2" width="14.42578125" customWidth="1" collapsed="1"/>
    <col min="3" max="3" width="16.42578125" bestFit="1" customWidth="1" collapsed="1"/>
    <col min="4" max="4" width="11.85546875" bestFit="1" customWidth="1" collapsed="1"/>
    <col min="5" max="5" width="19.42578125" customWidth="1" collapsed="1"/>
    <col min="6" max="6" width="18.7109375" customWidth="1" collapsed="1"/>
    <col min="7" max="9" width="13.85546875" customWidth="1" collapsed="1"/>
  </cols>
  <sheetData>
    <row r="2" spans="2:9" ht="30">
      <c r="B2" s="4" t="s">
        <v>2</v>
      </c>
      <c r="C2" s="7">
        <f>DATOS!C7</f>
        <v>86.88</v>
      </c>
      <c r="D2" t="s">
        <v>91</v>
      </c>
    </row>
    <row r="3" spans="2:9">
      <c r="B3" s="1"/>
      <c r="C3" s="1"/>
    </row>
    <row r="4" spans="2:9">
      <c r="B4" t="s">
        <v>13</v>
      </c>
      <c r="D4" s="2">
        <f>DATOS!C13</f>
        <v>313.56164383561645</v>
      </c>
    </row>
    <row r="5" spans="2:9">
      <c r="B5" t="s">
        <v>0</v>
      </c>
      <c r="D5" s="2">
        <f>DATOS!C14</f>
        <v>15.023199999999999</v>
      </c>
    </row>
    <row r="6" spans="2:9"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</row>
    <row r="7" spans="2:9">
      <c r="D7">
        <v>59</v>
      </c>
      <c r="E7">
        <v>61</v>
      </c>
      <c r="F7">
        <v>61</v>
      </c>
      <c r="G7">
        <v>62</v>
      </c>
      <c r="H7">
        <v>61</v>
      </c>
      <c r="I7">
        <v>61</v>
      </c>
    </row>
    <row r="8" spans="2:9">
      <c r="C8">
        <f>D7*C10</f>
        <v>2625.4312319999995</v>
      </c>
      <c r="D8" s="6">
        <f>$D$5/100</f>
        <v>0.150232</v>
      </c>
      <c r="E8" s="6">
        <f t="shared" ref="E8:I8" si="0">$D$5/100</f>
        <v>0.150232</v>
      </c>
      <c r="F8" s="6">
        <f t="shared" si="0"/>
        <v>0.150232</v>
      </c>
      <c r="G8" s="6">
        <f t="shared" si="0"/>
        <v>0.150232</v>
      </c>
      <c r="H8" s="6">
        <f t="shared" si="0"/>
        <v>0.150232</v>
      </c>
      <c r="I8" s="6">
        <f t="shared" si="0"/>
        <v>0.150232</v>
      </c>
    </row>
    <row r="9" spans="2:9">
      <c r="D9" s="3">
        <f>DATOS!C16</f>
        <v>0</v>
      </c>
      <c r="E9" s="3">
        <f>DATOS!C17</f>
        <v>0</v>
      </c>
      <c r="F9" s="3">
        <f>DATOS!C18</f>
        <v>0</v>
      </c>
      <c r="G9" s="3">
        <f>DATOS!C19</f>
        <v>0</v>
      </c>
      <c r="H9" s="3">
        <f>DATOS!C20</f>
        <v>0</v>
      </c>
      <c r="I9" s="3">
        <f>DATOS!C21</f>
        <v>0</v>
      </c>
    </row>
    <row r="10" spans="2:9">
      <c r="B10">
        <v>1</v>
      </c>
      <c r="C10" s="5">
        <f>(((($C$2*$D$5)*2)/D7))+(15/D7)</f>
        <v>44.49883444067796</v>
      </c>
      <c r="D10" s="5">
        <f>(((($C$2*$D$5)*2)/D7)*(D7-D9))+IF(D7&gt;D9,DATOS!$C$8,0)</f>
        <v>2625.4312319999999</v>
      </c>
      <c r="E10" s="5">
        <f>(((($C$2*$D$5)*2)/E7)*(E7-E9))+IF(E7&gt;E9,DATOS!$C$8,0)</f>
        <v>2625.4312319999999</v>
      </c>
      <c r="F10" s="5">
        <f>(((($C$2*$D$5)*2)/F7)*(F7-F9))+IF(F7&gt;F9,DATOS!$C$8,0)</f>
        <v>2625.4312319999999</v>
      </c>
      <c r="G10" s="5">
        <f>(((($C$2*$D$5)*2)/G7)*(G7-G9))+IF(G7&gt;G9,DATOS!$C$8,0)</f>
        <v>2625.4312319999999</v>
      </c>
      <c r="H10" s="5">
        <f>(((($C$2*$D$5)*2)/H7)*(H7-H9))+IF(H7&gt;H9,DATOS!$C$8,0)</f>
        <v>2625.4312319999999</v>
      </c>
      <c r="I10" s="5">
        <f>(((($C$2*$D$5)*2)/I7)*(I7-I9))+IF(I7&gt;I9,DATOS!$C$8,0)</f>
        <v>2625.4312319999999</v>
      </c>
    </row>
    <row r="11" spans="2:9">
      <c r="B11">
        <v>2</v>
      </c>
      <c r="C11" s="5">
        <f>(($D$5*2)/D7)+(15/D7)</f>
        <v>0.7634983050847457</v>
      </c>
      <c r="D11" s="5">
        <f>(($D$5*2)/D7)*(D7-D9)+IF(D7&gt;D9,DATOS!$C$8,0)</f>
        <v>45.046399999999998</v>
      </c>
      <c r="E11" s="5">
        <f>(($D$5*2)/E7)*(E7-E9)+IF(E7&gt;E9,DATOS!$C$8,0)</f>
        <v>45.046399999999998</v>
      </c>
      <c r="F11" s="5">
        <f>(($D$5*2)/F7)*(F7-F9)+IF(F7&gt;F9,DATOS!$C$8,0)</f>
        <v>45.046399999999998</v>
      </c>
      <c r="G11" s="5">
        <f>(($D$5*2)/G7)*(G7-G9)+IF(G7&gt;G9,DATOS!$C$8,0)</f>
        <v>45.046399999999998</v>
      </c>
      <c r="H11" s="5">
        <f>(($D$5*2)/H7)*(H7-H9)+IF(H7&gt;H9,DATOS!$C$8,0)</f>
        <v>45.046399999999998</v>
      </c>
      <c r="I11" s="5">
        <f>(($D$5*2)/I7)*(I7-I9)+IF(I7&gt;I9,DATOS!$C$8,0)</f>
        <v>45.046399999999998</v>
      </c>
    </row>
    <row r="12" spans="2:9">
      <c r="B12">
        <v>3</v>
      </c>
      <c r="C12" s="5">
        <f>(($D$4*D8))+(15/D7)</f>
        <v>47.361230164847925</v>
      </c>
      <c r="D12" s="5">
        <f>(($D$4*D8)*(D7-D9))+IF(D7&gt;D9,DATOS!$C$8,0)</f>
        <v>2794.3125797260277</v>
      </c>
      <c r="E12" s="5">
        <f>(($D$4*E8)*(E7-E9))+IF(E7&gt;E9,DATOS!$C$8,0)</f>
        <v>2888.5265654794525</v>
      </c>
      <c r="F12" s="5">
        <f>(($D$4*F8)*(F7-F9))+IF(F7&gt;F9,DATOS!$C$8,0)</f>
        <v>2888.5265654794525</v>
      </c>
      <c r="G12" s="5">
        <f>(($D$4*G8)*(G7-G9))+IF(G7&gt;G9,DATOS!$C$8,0)</f>
        <v>2935.6335583561645</v>
      </c>
      <c r="H12" s="5">
        <f>(($D$4*H8)*(H7-H9))+IF(H7&gt;H9,DATOS!$C$8,0)</f>
        <v>2888.5265654794525</v>
      </c>
      <c r="I12" s="5">
        <f>(($D$4*I8)*(I7-I9))+IF(I7&gt;I9,DATOS!$C$8,0)</f>
        <v>2888.5265654794525</v>
      </c>
    </row>
    <row r="14" spans="2:9">
      <c r="B14">
        <v>1</v>
      </c>
      <c r="E14" s="5">
        <f>(((($C$2*$D$5)*2)/E11)*(E11-E13))+IF(E11&gt;E13,DATOS!$C$8,0)</f>
        <v>2625.4312319999999</v>
      </c>
      <c r="F14" s="5">
        <f>(((($C$2*$D$5)*2)/F11)*(F11-F13))+IF(F11&gt;F13,DATOS!$C$8,0)</f>
        <v>2625.4312319999999</v>
      </c>
      <c r="G14" s="5">
        <f>(((($C$2*$D$5)*2)/G11)*(G11-G13))+IF(G11&gt;G13,DATOS!$C$8,0)</f>
        <v>2625.4312319999999</v>
      </c>
      <c r="H14" s="5">
        <f>(((($C$2*$D$5)*2)/H11)*(H11-H13))+IF(H11&gt;H13,DATOS!$C$8,0)</f>
        <v>2625.4312319999999</v>
      </c>
      <c r="I14" s="5">
        <f>(((($C$2*$D$5)*2)/I11)*(I11-I13))+IF(I11&gt;I13,DATOS!$C$8,0)</f>
        <v>2625.4312319999999</v>
      </c>
    </row>
    <row r="15" spans="2:9">
      <c r="B15">
        <v>2</v>
      </c>
      <c r="E15" s="5">
        <f>(($D$5*2)/E11)*(E11-E13)+IF(E11&gt;E13,DATOS!$C$8,0)</f>
        <v>45.046399999999998</v>
      </c>
      <c r="F15" s="5">
        <f>(($D$5*2)/F11)*(F11-F13)+IF(F11&gt;F13,DATOS!$C$8,0)</f>
        <v>45.046399999999998</v>
      </c>
      <c r="G15" s="5">
        <f>(($D$5*2)/G11)*(G11-G13)+IF(G11&gt;G13,DATOS!$C$8,0)</f>
        <v>45.046399999999998</v>
      </c>
      <c r="H15" s="5">
        <f>(($D$5*2)/H11)*(H11-H13)+IF(H11&gt;H13,DATOS!$C$8,0)</f>
        <v>45.046399999999998</v>
      </c>
      <c r="I15" s="5">
        <f>(($D$5*2)/I11)*(I11-I13)+IF(I11&gt;I13,DATOS!$C$8,0)</f>
        <v>45.046399999999998</v>
      </c>
    </row>
    <row r="16" spans="2:9">
      <c r="B16">
        <v>3</v>
      </c>
      <c r="E16" s="5">
        <f>(($D$4*E12)*(E11-E13))+IF(E11&gt;E13,DATOS!$C$8,0)</f>
        <v>40799942.140865751</v>
      </c>
      <c r="F16" s="5">
        <f>(($D$4*F12)*(F11-F13))+IF(F11&gt;F13,DATOS!$C$8,0)</f>
        <v>40799942.140865751</v>
      </c>
      <c r="G16" s="5">
        <f>(($D$4*G12)*(G11-G13))+IF(G11&gt;G13,DATOS!$C$8,0)</f>
        <v>41465320.088281684</v>
      </c>
      <c r="H16" s="5">
        <f>(($D$4*H12)*(H11-H13))+IF(H11&gt;H13,DATOS!$C$8,0)</f>
        <v>40799942.140865751</v>
      </c>
      <c r="I16" s="5">
        <f>(($D$4*I12)*(I11-I13))+IF(I11&gt;I13,DATOS!$C$8,0)</f>
        <v>40799942.140865751</v>
      </c>
    </row>
    <row r="18" spans="4:4">
      <c r="D18">
        <f>(((($C$2*$D$5)*2)/D11))</f>
        <v>57.949830219507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 IMSS Colaborador 2020</vt:lpstr>
      <vt:lpstr>DATOS</vt:lpstr>
      <vt:lpstr>SBC 2020</vt:lpstr>
      <vt:lpstr>TARIFAS ISPT, SUBSIDO AL EMPLEO</vt:lpstr>
      <vt:lpstr>CALCULO RETENCION</vt:lpstr>
      <vt:lpstr>AREA</vt:lpstr>
      <vt:lpstr>result</vt:lpstr>
      <vt:lpstr>SM</vt:lpstr>
      <vt:lpstr>VALORdesc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Salcido</dc:creator>
  <cp:lastModifiedBy>Usuario de Windows</cp:lastModifiedBy>
  <dcterms:created xsi:type="dcterms:W3CDTF">2011-08-07T23:05:06Z</dcterms:created>
  <dcterms:modified xsi:type="dcterms:W3CDTF">2020-12-03T12:41:55Z</dcterms:modified>
</cp:coreProperties>
</file>